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24226"/>
  <mc:AlternateContent xmlns:mc="http://schemas.openxmlformats.org/markup-compatibility/2006">
    <mc:Choice Requires="x15">
      <x15ac:absPath xmlns:x15ac="http://schemas.microsoft.com/office/spreadsheetml/2010/11/ac" url="\\STBHQFS\GrpData\Railroad Financial Conferences Reports to Commissioners\Q2 2020\"/>
    </mc:Choice>
  </mc:AlternateContent>
  <xr:revisionPtr revIDLastSave="0" documentId="13_ncr:1_{216D8645-6E02-4FD5-816D-4A3C6A5FA17D}" xr6:coauthVersionLast="45" xr6:coauthVersionMax="45" xr10:uidLastSave="{00000000-0000-0000-0000-000000000000}"/>
  <bookViews>
    <workbookView xWindow="1520" yWindow="600" windowWidth="16850" windowHeight="102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<sst xmlns="http://schemas.openxmlformats.org/spreadsheetml/2006/main" count="96" uniqueCount="59">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</sst>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3">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6" fillId="3" borderId="0" xfId="2" applyFont="1" applyFill="1" applyProtection="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5" zoomScaleNormal="75" workbookViewId="0">
      <pane xSplit="1" ySplit="6" topLeftCell="B25" activePane="bottomRight" state="frozen"/>
      <selection pane="topRight" activeCell="B1" sqref="B1"/>
      <selection pane="bottomLeft" activeCell="A7" sqref="A7"/>
      <selection pane="bottomRight" activeCell="I2" sqref="I2"/>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5" t="s">
        <v>48</v>
      </c>
      <c r="B1" s="31" t="s">
        <v>46</v>
      </c>
      <c r="D1" s="31"/>
      <c r="E1" s="31"/>
      <c r="F1" s="32"/>
      <c r="G1" s="10"/>
    </row>
    <row r="2" spans="1:36" ht="30" customHeight="1" x14ac:dyDescent="0.2">
      <c r="A2" s="35" t="s">
        <v>43</v>
      </c>
      <c r="B2" s="31" t="s">
        <v>46</v>
      </c>
      <c r="D2" s="31"/>
      <c r="E2" s="31"/>
      <c r="F2" s="32"/>
      <c r="G2" s="10"/>
      <c r="I2" s="36"/>
      <c r="L2" s="37"/>
    </row>
    <row r="3" spans="1:36" ht="14.5" x14ac:dyDescent="0.2">
      <c r="A3" s="35">
        <v>2020</v>
      </c>
      <c r="C3" s="38"/>
      <c r="I3" s="38"/>
    </row>
    <row r="4" spans="1:36" ht="15" thickBot="1" x14ac:dyDescent="0.25">
      <c r="A4" s="33">
        <f>A3-1</f>
        <v>2019</v>
      </c>
    </row>
    <row r="5" spans="1:36" s="8" customFormat="1" ht="13.5" thickBot="1" x14ac:dyDescent="0.3">
      <c r="A5"/>
      <c r="B5" s="45" t="s">
        <v>18</v>
      </c>
      <c r="C5" s="46"/>
      <c r="D5" s="46"/>
      <c r="E5" s="46"/>
      <c r="F5" s="47"/>
      <c r="G5" s="39" t="s">
        <v>19</v>
      </c>
      <c r="H5" s="40"/>
      <c r="I5" s="40"/>
      <c r="J5" s="40"/>
      <c r="K5" s="41"/>
      <c r="L5" s="42" t="s">
        <v>33</v>
      </c>
      <c r="M5" s="43"/>
      <c r="N5" s="43"/>
      <c r="O5" s="43"/>
      <c r="P5" s="44"/>
      <c r="Q5" s="45" t="s">
        <v>20</v>
      </c>
      <c r="R5" s="46"/>
      <c r="S5" s="46"/>
      <c r="T5" s="46"/>
      <c r="U5" s="47"/>
      <c r="V5" s="39" t="s">
        <v>21</v>
      </c>
      <c r="W5" s="40"/>
      <c r="X5" s="40"/>
      <c r="Y5" s="40"/>
      <c r="Z5" s="41"/>
      <c r="AA5" s="42" t="s">
        <v>34</v>
      </c>
      <c r="AB5" s="43"/>
      <c r="AC5" s="43"/>
      <c r="AD5" s="43"/>
      <c r="AE5" s="44"/>
      <c r="AF5" s="42" t="s">
        <v>22</v>
      </c>
      <c r="AG5" s="43"/>
      <c r="AH5" s="43"/>
      <c r="AI5" s="43"/>
      <c r="AJ5" s="44"/>
    </row>
    <row r="6" spans="1:36" ht="116"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34696</v>
      </c>
      <c r="AB21" s="16">
        <v>17451</v>
      </c>
      <c r="AC21" s="16">
        <v>7451</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10" customFormat="1" x14ac:dyDescent="0.2">
      <c r="A23" s="9" t="s">
        <v>39</v>
      </c>
      <c r="B23" s="18">
        <v>844288</v>
      </c>
      <c r="C23" s="16">
        <v>370172</v>
      </c>
      <c r="D23" s="16">
        <v>65609</v>
      </c>
      <c r="E23" s="16">
        <v>333385</v>
      </c>
      <c r="F23" s="20">
        <v>256</v>
      </c>
      <c r="G23" s="18">
        <v>264935</v>
      </c>
      <c r="H23" s="16">
        <v>113924</v>
      </c>
      <c r="I23" s="16">
        <v>16154</v>
      </c>
      <c r="J23" s="16">
        <v>160422</v>
      </c>
      <c r="K23" s="20">
        <v>432</v>
      </c>
      <c r="L23" s="18">
        <v>88581</v>
      </c>
      <c r="M23" s="16">
        <v>38151</v>
      </c>
      <c r="N23" s="16">
        <v>12089</v>
      </c>
      <c r="O23" s="16">
        <v>32570</v>
      </c>
      <c r="P23" s="20">
        <v>2636</v>
      </c>
      <c r="Q23" s="18">
        <v>35420</v>
      </c>
      <c r="R23" s="16">
        <v>16004</v>
      </c>
      <c r="S23" s="16">
        <v>496</v>
      </c>
      <c r="T23" s="16">
        <v>21179</v>
      </c>
      <c r="U23" s="20">
        <v>4415</v>
      </c>
      <c r="V23" s="18">
        <v>277410</v>
      </c>
      <c r="W23" s="16">
        <v>123368</v>
      </c>
      <c r="X23" s="16">
        <v>7202</v>
      </c>
      <c r="Y23" s="16">
        <v>157205</v>
      </c>
      <c r="Z23" s="20">
        <v>474</v>
      </c>
      <c r="AA23" s="18">
        <v>38741</v>
      </c>
      <c r="AB23" s="16">
        <v>17387</v>
      </c>
      <c r="AC23" s="16">
        <v>292</v>
      </c>
      <c r="AD23" s="16">
        <v>21725.2137</v>
      </c>
      <c r="AE23" s="20">
        <v>8911.2000000000007</v>
      </c>
      <c r="AF23" s="18">
        <v>643543.66261999996</v>
      </c>
      <c r="AG23" s="16">
        <v>280641.61385276983</v>
      </c>
      <c r="AH23" s="16">
        <v>54625.432599999898</v>
      </c>
      <c r="AI23" s="16">
        <v>411666</v>
      </c>
      <c r="AJ23" s="20">
        <v>37556</v>
      </c>
    </row>
    <row r="24" spans="1:36" s="10" customFormat="1" x14ac:dyDescent="0.2">
      <c r="A24" s="9" t="s">
        <v>40</v>
      </c>
      <c r="B24" s="18">
        <v>872626</v>
      </c>
      <c r="C24" s="16">
        <v>373005</v>
      </c>
      <c r="D24" s="16">
        <v>28338</v>
      </c>
      <c r="E24" s="16">
        <v>379263</v>
      </c>
      <c r="F24" s="20">
        <v>261</v>
      </c>
      <c r="G24" s="18">
        <v>262964</v>
      </c>
      <c r="H24" s="16">
        <v>111096</v>
      </c>
      <c r="I24" s="16">
        <v>-1971</v>
      </c>
      <c r="J24" s="16">
        <v>182003</v>
      </c>
      <c r="K24" s="20">
        <v>486</v>
      </c>
      <c r="L24" s="18">
        <v>94430</v>
      </c>
      <c r="M24" s="16">
        <v>39766</v>
      </c>
      <c r="N24" s="16">
        <v>5849</v>
      </c>
      <c r="O24" s="16">
        <v>41382</v>
      </c>
      <c r="P24" s="20">
        <v>3789</v>
      </c>
      <c r="Q24" s="18">
        <v>38002</v>
      </c>
      <c r="R24" s="16">
        <v>16858</v>
      </c>
      <c r="S24" s="16">
        <v>2582</v>
      </c>
      <c r="T24" s="16">
        <v>26461</v>
      </c>
      <c r="U24" s="20">
        <v>4619</v>
      </c>
      <c r="V24" s="18">
        <v>279046</v>
      </c>
      <c r="W24" s="16">
        <v>121586</v>
      </c>
      <c r="X24" s="16">
        <v>1636</v>
      </c>
      <c r="Y24" s="16">
        <v>182059</v>
      </c>
      <c r="Z24" s="20">
        <v>453</v>
      </c>
      <c r="AA24" s="18">
        <v>37702</v>
      </c>
      <c r="AB24" s="16">
        <v>17416</v>
      </c>
      <c r="AC24" s="16">
        <v>-1039</v>
      </c>
      <c r="AD24" s="16">
        <v>24674</v>
      </c>
      <c r="AE24" s="20">
        <v>9853</v>
      </c>
      <c r="AF24" s="18">
        <v>658792.21455999999</v>
      </c>
      <c r="AG24" s="16">
        <v>277256.81983129442</v>
      </c>
      <c r="AH24" s="16">
        <v>15248.351940000077</v>
      </c>
      <c r="AI24" s="16">
        <v>482214</v>
      </c>
      <c r="AJ24" s="20">
        <v>43981</v>
      </c>
    </row>
    <row r="25" spans="1:36" s="10" customFormat="1" x14ac:dyDescent="0.2">
      <c r="A25" s="9" t="s">
        <v>41</v>
      </c>
      <c r="B25" s="18">
        <v>904088</v>
      </c>
      <c r="C25" s="16">
        <v>383520</v>
      </c>
      <c r="D25" s="16">
        <v>31462</v>
      </c>
      <c r="E25" s="16">
        <v>393978</v>
      </c>
      <c r="F25" s="20">
        <v>297</v>
      </c>
      <c r="G25" s="18">
        <v>246958</v>
      </c>
      <c r="H25" s="16">
        <v>111512</v>
      </c>
      <c r="I25" s="16">
        <v>-16006</v>
      </c>
      <c r="J25" s="16">
        <v>188572</v>
      </c>
      <c r="K25" s="20">
        <v>573</v>
      </c>
      <c r="L25" s="18">
        <v>98969</v>
      </c>
      <c r="M25" s="16">
        <v>42456</v>
      </c>
      <c r="N25" s="16">
        <v>4539</v>
      </c>
      <c r="O25" s="16">
        <v>43808</v>
      </c>
      <c r="P25" s="20">
        <v>3584</v>
      </c>
      <c r="Q25" s="18">
        <v>39037</v>
      </c>
      <c r="R25" s="16">
        <v>17366</v>
      </c>
      <c r="S25" s="16">
        <v>1035</v>
      </c>
      <c r="T25" s="16">
        <v>25931</v>
      </c>
      <c r="U25" s="20">
        <v>4839</v>
      </c>
      <c r="V25" s="18">
        <v>279784</v>
      </c>
      <c r="W25" s="16">
        <v>125285</v>
      </c>
      <c r="X25" s="16">
        <v>738</v>
      </c>
      <c r="Y25" s="16">
        <v>186728</v>
      </c>
      <c r="Z25" s="20">
        <v>372</v>
      </c>
      <c r="AA25" s="18">
        <v>41687.42</v>
      </c>
      <c r="AB25" s="16">
        <v>17543.115000000002</v>
      </c>
      <c r="AC25" s="16">
        <v>3985</v>
      </c>
      <c r="AD25" s="16">
        <v>26034</v>
      </c>
      <c r="AE25" s="20">
        <v>10267</v>
      </c>
      <c r="AF25" s="18">
        <v>639529.82273999997</v>
      </c>
      <c r="AG25" s="16">
        <v>275441.2726417738</v>
      </c>
      <c r="AH25" s="16">
        <v>-19262.391820000128</v>
      </c>
      <c r="AI25" s="16">
        <v>488207</v>
      </c>
      <c r="AJ25" s="20">
        <v>41343</v>
      </c>
    </row>
    <row r="26" spans="1:36" s="10" customFormat="1" x14ac:dyDescent="0.2">
      <c r="A26" s="9" t="s">
        <v>42</v>
      </c>
      <c r="B26" s="18">
        <v>723765.93400000001</v>
      </c>
      <c r="C26" s="16">
        <v>361235.33688951615</v>
      </c>
      <c r="D26" s="16">
        <v>-180322.06599999999</v>
      </c>
      <c r="E26" s="16">
        <v>324227</v>
      </c>
      <c r="F26" s="20">
        <v>93</v>
      </c>
      <c r="G26" s="18">
        <v>228083</v>
      </c>
      <c r="H26" s="16">
        <v>111516</v>
      </c>
      <c r="I26" s="16">
        <v>-18875</v>
      </c>
      <c r="J26" s="16">
        <v>155171</v>
      </c>
      <c r="K26" s="20">
        <v>431</v>
      </c>
      <c r="L26" s="18">
        <v>74535</v>
      </c>
      <c r="M26" s="16">
        <v>36682</v>
      </c>
      <c r="N26" s="16">
        <v>-24434</v>
      </c>
      <c r="O26" s="16">
        <v>35081</v>
      </c>
      <c r="P26" s="20">
        <v>2453</v>
      </c>
      <c r="Q26" s="18">
        <v>34470</v>
      </c>
      <c r="R26" s="16">
        <v>17441</v>
      </c>
      <c r="S26" s="16">
        <v>-4567</v>
      </c>
      <c r="T26" s="16">
        <v>22448</v>
      </c>
      <c r="U26" s="20">
        <v>5024</v>
      </c>
      <c r="V26" s="18">
        <v>254119</v>
      </c>
      <c r="W26" s="16">
        <v>127623</v>
      </c>
      <c r="X26" s="16">
        <v>-25665</v>
      </c>
      <c r="Y26" s="16">
        <v>154053</v>
      </c>
      <c r="Z26" s="20">
        <v>640</v>
      </c>
      <c r="AA26" s="18">
        <v>32759.847709999998</v>
      </c>
      <c r="AB26" s="16">
        <v>16317.539000000001</v>
      </c>
      <c r="AC26" s="16">
        <f>32760-41687</f>
        <v>-8927</v>
      </c>
      <c r="AD26" s="16">
        <v>17851.3</v>
      </c>
      <c r="AE26" s="20">
        <v>7251.7</v>
      </c>
      <c r="AF26" s="18">
        <v>530924.37625999993</v>
      </c>
      <c r="AG26" s="16">
        <v>258184.68607168036</v>
      </c>
      <c r="AH26" s="16">
        <v>-108606.44647999991</v>
      </c>
      <c r="AI26" s="16">
        <v>397476.07897999999</v>
      </c>
      <c r="AJ26" s="20">
        <v>37060.327589999994</v>
      </c>
    </row>
    <row r="27" spans="1:36" s="10" customFormat="1" x14ac:dyDescent="0.2">
      <c r="A27" s="24" t="s">
        <v>43</v>
      </c>
      <c r="B27" s="25">
        <v>788848</v>
      </c>
      <c r="C27" s="26">
        <v>359070.26417459856</v>
      </c>
      <c r="D27" s="26">
        <v>65082.065999999992</v>
      </c>
      <c r="E27" s="26">
        <v>317325</v>
      </c>
      <c r="F27" s="27">
        <v>106</v>
      </c>
      <c r="G27" s="25">
        <v>229295</v>
      </c>
      <c r="H27" s="26">
        <v>104467</v>
      </c>
      <c r="I27" s="26">
        <v>1212</v>
      </c>
      <c r="J27" s="26">
        <v>154746</v>
      </c>
      <c r="K27" s="27">
        <v>517</v>
      </c>
      <c r="L27" s="25">
        <v>84411</v>
      </c>
      <c r="M27" s="26">
        <v>39174</v>
      </c>
      <c r="N27" s="26">
        <v>9876</v>
      </c>
      <c r="O27" s="26">
        <v>34706</v>
      </c>
      <c r="P27" s="27">
        <v>3239</v>
      </c>
      <c r="Q27" s="25">
        <v>34349</v>
      </c>
      <c r="R27" s="26">
        <v>15613</v>
      </c>
      <c r="S27" s="26">
        <v>-121</v>
      </c>
      <c r="T27" s="26">
        <v>21568</v>
      </c>
      <c r="U27" s="27">
        <v>4198</v>
      </c>
      <c r="V27" s="25">
        <v>258570</v>
      </c>
      <c r="W27" s="26">
        <v>123136</v>
      </c>
      <c r="X27" s="26">
        <v>4451</v>
      </c>
      <c r="Y27" s="26">
        <v>143357</v>
      </c>
      <c r="Z27" s="27">
        <v>768</v>
      </c>
      <c r="AA27" s="25">
        <v>35068.090790000002</v>
      </c>
      <c r="AB27" s="26">
        <v>16811.86</v>
      </c>
      <c r="AC27" s="26">
        <v>2308.2430599999998</v>
      </c>
      <c r="AD27" s="26">
        <v>20806.8</v>
      </c>
      <c r="AE27" s="27">
        <v>7795.9</v>
      </c>
      <c r="AF27" s="25">
        <v>560530</v>
      </c>
      <c r="AG27" s="26">
        <v>254342</v>
      </c>
      <c r="AH27" s="26">
        <v>29605.62374000001</v>
      </c>
      <c r="AI27" s="26">
        <v>399560.05440000002</v>
      </c>
      <c r="AJ27" s="27">
        <v>34938.786270000004</v>
      </c>
    </row>
    <row r="28" spans="1:36" s="10" customFormat="1" x14ac:dyDescent="0.2">
      <c r="A28" s="9" t="s">
        <v>44</v>
      </c>
      <c r="B28" s="18">
        <v>741497.18700000003</v>
      </c>
      <c r="C28" s="16">
        <v>359102.18304188317</v>
      </c>
      <c r="D28" s="16">
        <v>-47350.812999999966</v>
      </c>
      <c r="E28" s="16">
        <v>332228</v>
      </c>
      <c r="F28" s="20">
        <v>308</v>
      </c>
      <c r="G28" s="18">
        <v>218651</v>
      </c>
      <c r="H28" s="16">
        <v>106377</v>
      </c>
      <c r="I28" s="16">
        <v>-10644</v>
      </c>
      <c r="J28" s="16">
        <v>153548</v>
      </c>
      <c r="K28" s="20">
        <v>540</v>
      </c>
      <c r="L28" s="18">
        <v>74030</v>
      </c>
      <c r="M28" s="16">
        <v>36648</v>
      </c>
      <c r="N28" s="16">
        <v>-10381</v>
      </c>
      <c r="O28" s="16">
        <v>34079</v>
      </c>
      <c r="P28" s="20">
        <v>2542</v>
      </c>
      <c r="Q28" s="18">
        <v>34787</v>
      </c>
      <c r="R28" s="16">
        <v>16919</v>
      </c>
      <c r="S28" s="16">
        <v>438</v>
      </c>
      <c r="T28" s="16">
        <v>23439</v>
      </c>
      <c r="U28" s="20">
        <v>5231</v>
      </c>
      <c r="V28" s="18">
        <v>232557</v>
      </c>
      <c r="W28" s="16">
        <v>116433</v>
      </c>
      <c r="X28" s="16">
        <v>-26013</v>
      </c>
      <c r="Y28" s="16">
        <v>146181</v>
      </c>
      <c r="Z28" s="20">
        <v>1202</v>
      </c>
      <c r="AA28" s="18">
        <v>35515.674879999999</v>
      </c>
      <c r="AB28" s="16">
        <v>17945.026760000001</v>
      </c>
      <c r="AC28" s="16">
        <v>447.58389</v>
      </c>
      <c r="AD28" s="16">
        <v>21000</v>
      </c>
      <c r="AE28" s="20">
        <v>8226</v>
      </c>
      <c r="AF28" s="18">
        <v>503687</v>
      </c>
      <c r="AG28" s="16">
        <v>241785</v>
      </c>
      <c r="AH28" s="16">
        <v>-56843</v>
      </c>
      <c r="AI28" s="16">
        <v>392606.0429</v>
      </c>
      <c r="AJ28" s="20">
        <v>35067.428849999997</v>
      </c>
    </row>
    <row r="29" spans="1:36" s="10" customFormat="1" x14ac:dyDescent="0.2">
      <c r="A29" s="9" t="s">
        <v>45</v>
      </c>
      <c r="B29" s="18">
        <v>745077.39300000004</v>
      </c>
      <c r="C29" s="16">
        <v>353222.73422263755</v>
      </c>
      <c r="D29" s="16">
        <v>3580.2060000000056</v>
      </c>
      <c r="E29" s="16">
        <v>300895</v>
      </c>
      <c r="F29" s="20">
        <v>142</v>
      </c>
      <c r="G29" s="18">
        <v>211455</v>
      </c>
      <c r="H29" s="16">
        <v>99098</v>
      </c>
      <c r="I29" s="16">
        <v>-7196</v>
      </c>
      <c r="J29" s="16">
        <v>146053</v>
      </c>
      <c r="K29" s="20">
        <v>433</v>
      </c>
      <c r="L29" s="18">
        <v>75865</v>
      </c>
      <c r="M29" s="16">
        <v>35164</v>
      </c>
      <c r="N29" s="16">
        <v>1835</v>
      </c>
      <c r="O29" s="16">
        <v>28605</v>
      </c>
      <c r="P29" s="20">
        <v>2510</v>
      </c>
      <c r="Q29" s="18">
        <v>34083</v>
      </c>
      <c r="R29" s="16">
        <v>17080</v>
      </c>
      <c r="S29" s="16">
        <v>-704</v>
      </c>
      <c r="T29" s="16">
        <v>22327</v>
      </c>
      <c r="U29" s="20">
        <v>6305</v>
      </c>
      <c r="V29" s="18">
        <v>227182</v>
      </c>
      <c r="W29" s="16">
        <v>112185</v>
      </c>
      <c r="X29" s="16">
        <v>-5375</v>
      </c>
      <c r="Y29" s="16">
        <v>134782</v>
      </c>
      <c r="Z29" s="20">
        <v>1019</v>
      </c>
      <c r="AA29" s="18">
        <v>37966.663930000002</v>
      </c>
      <c r="AB29" s="16">
        <v>18105.25</v>
      </c>
      <c r="AC29" s="16">
        <v>2450.9892500000001</v>
      </c>
      <c r="AD29" s="16">
        <v>19522.8</v>
      </c>
      <c r="AE29" s="20">
        <v>7020</v>
      </c>
      <c r="AF29" s="18">
        <v>511614</v>
      </c>
      <c r="AG29" s="16">
        <v>238303</v>
      </c>
      <c r="AH29" s="16">
        <v>7927</v>
      </c>
      <c r="AI29" s="16">
        <v>362950.81411000004</v>
      </c>
      <c r="AJ29" s="20">
        <v>32649.789230000002</v>
      </c>
    </row>
    <row r="30" spans="1:36" s="10" customFormat="1" x14ac:dyDescent="0.2">
      <c r="A30" s="9" t="s">
        <v>47</v>
      </c>
      <c r="B30" s="18">
        <v>626015</v>
      </c>
      <c r="C30" s="16">
        <v>324778.96128615981</v>
      </c>
      <c r="D30" s="16">
        <v>-119062.39300000004</v>
      </c>
      <c r="E30" s="16">
        <v>272931</v>
      </c>
      <c r="F30" s="20">
        <v>1400</v>
      </c>
      <c r="G30" s="18">
        <v>186820</v>
      </c>
      <c r="H30" s="16">
        <v>103397</v>
      </c>
      <c r="I30" s="16">
        <v>-24635</v>
      </c>
      <c r="J30" s="16">
        <v>145300</v>
      </c>
      <c r="K30" s="20">
        <v>498</v>
      </c>
      <c r="L30" s="18">
        <v>59026</v>
      </c>
      <c r="M30" s="16">
        <v>32484</v>
      </c>
      <c r="N30" s="16">
        <v>-16839</v>
      </c>
      <c r="O30" s="16">
        <v>30139</v>
      </c>
      <c r="P30" s="20">
        <v>2421</v>
      </c>
      <c r="Q30" s="18">
        <v>29028</v>
      </c>
      <c r="R30" s="16">
        <v>16043</v>
      </c>
      <c r="S30" s="16">
        <v>-5055</v>
      </c>
      <c r="T30" s="16">
        <v>22252</v>
      </c>
      <c r="U30" s="20">
        <v>6820</v>
      </c>
      <c r="V30" s="18">
        <v>193555</v>
      </c>
      <c r="W30" s="16">
        <v>109722</v>
      </c>
      <c r="X30" s="16">
        <v>-33627</v>
      </c>
      <c r="Y30" s="16">
        <v>130677</v>
      </c>
      <c r="Z30" s="20">
        <v>1222</v>
      </c>
      <c r="AA30" s="18">
        <v>33394</v>
      </c>
      <c r="AB30" s="16">
        <v>18592</v>
      </c>
      <c r="AC30" s="16">
        <f>33394-37967</f>
        <v>-4573</v>
      </c>
      <c r="AD30" s="16">
        <v>20269</v>
      </c>
      <c r="AE30" s="20">
        <v>7221</v>
      </c>
      <c r="AF30" s="18">
        <v>434335</v>
      </c>
      <c r="AG30" s="16">
        <v>234214</v>
      </c>
      <c r="AH30" s="16">
        <v>-77279</v>
      </c>
      <c r="AI30" s="16">
        <v>351442</v>
      </c>
      <c r="AJ30" s="20">
        <v>32705</v>
      </c>
    </row>
    <row r="31" spans="1:36" s="10" customFormat="1" x14ac:dyDescent="0.2">
      <c r="A31" s="11" t="s">
        <v>48</v>
      </c>
      <c r="B31" s="19">
        <v>343146</v>
      </c>
      <c r="C31" s="17">
        <v>281062</v>
      </c>
      <c r="D31" s="17">
        <v>-282869</v>
      </c>
      <c r="E31" s="17">
        <v>173958</v>
      </c>
      <c r="F31" s="21">
        <v>382</v>
      </c>
      <c r="G31" s="19">
        <v>88619</v>
      </c>
      <c r="H31" s="17">
        <v>80202</v>
      </c>
      <c r="I31" s="17">
        <v>-98201</v>
      </c>
      <c r="J31" s="17">
        <v>77404</v>
      </c>
      <c r="K31" s="21">
        <v>237</v>
      </c>
      <c r="L31" s="19">
        <v>32285</v>
      </c>
      <c r="M31" s="17">
        <v>27838</v>
      </c>
      <c r="N31" s="17">
        <v>-26741</v>
      </c>
      <c r="O31" s="17">
        <v>14772</v>
      </c>
      <c r="P31" s="21">
        <v>1322</v>
      </c>
      <c r="Q31" s="19">
        <v>14456</v>
      </c>
      <c r="R31" s="17">
        <v>12425</v>
      </c>
      <c r="S31" s="17">
        <v>-14572</v>
      </c>
      <c r="T31" s="17">
        <v>12269</v>
      </c>
      <c r="U31" s="21">
        <v>4652</v>
      </c>
      <c r="V31" s="19">
        <v>86670</v>
      </c>
      <c r="W31" s="17">
        <v>85007</v>
      </c>
      <c r="X31" s="17">
        <v>-106885</v>
      </c>
      <c r="Y31" s="17">
        <v>69266</v>
      </c>
      <c r="Z31" s="21">
        <v>586</v>
      </c>
      <c r="AA31" s="19">
        <v>12625</v>
      </c>
      <c r="AB31" s="17">
        <v>11908.85522044388</v>
      </c>
      <c r="AC31" s="17">
        <v>-20768</v>
      </c>
      <c r="AD31" s="17">
        <v>6965.0864600000004</v>
      </c>
      <c r="AE31" s="21">
        <v>2676.9456500000001</v>
      </c>
      <c r="AF31" s="19">
        <v>246283</v>
      </c>
      <c r="AG31" s="17">
        <v>195214</v>
      </c>
      <c r="AH31" s="17">
        <v>-188052</v>
      </c>
      <c r="AI31" s="17">
        <v>206166</v>
      </c>
      <c r="AJ31" s="21">
        <v>19539</v>
      </c>
    </row>
    <row r="32" spans="1:36" x14ac:dyDescent="0.2">
      <c r="A32" s="9" t="s">
        <v>49</v>
      </c>
      <c r="B32" s="18"/>
      <c r="C32" s="16"/>
      <c r="D32" s="16"/>
      <c r="E32" s="16"/>
      <c r="F32" s="20"/>
      <c r="G32" s="18"/>
      <c r="H32" s="16"/>
      <c r="I32" s="16"/>
      <c r="J32" s="16"/>
      <c r="K32" s="20"/>
      <c r="L32" s="18"/>
      <c r="M32" s="16"/>
      <c r="N32" s="16"/>
      <c r="O32" s="16"/>
      <c r="P32" s="20"/>
      <c r="Q32" s="18"/>
      <c r="R32" s="16"/>
      <c r="S32" s="16"/>
      <c r="T32" s="16"/>
      <c r="U32" s="20"/>
      <c r="V32" s="18"/>
      <c r="W32" s="16"/>
      <c r="X32" s="16"/>
      <c r="Y32" s="16"/>
      <c r="Z32" s="20"/>
      <c r="AA32" s="18"/>
      <c r="AB32" s="16"/>
      <c r="AC32" s="16"/>
      <c r="AD32" s="16"/>
      <c r="AE32" s="20"/>
      <c r="AF32" s="18"/>
      <c r="AG32" s="16"/>
      <c r="AH32" s="16"/>
      <c r="AI32" s="16"/>
      <c r="AJ32" s="20"/>
    </row>
    <row r="33" spans="1:36" x14ac:dyDescent="0.2">
      <c r="A33" s="9" t="s">
        <v>50</v>
      </c>
      <c r="B33" s="18"/>
      <c r="C33" s="16"/>
      <c r="D33" s="16"/>
      <c r="E33" s="16"/>
      <c r="F33" s="20"/>
      <c r="G33" s="18"/>
      <c r="H33" s="16"/>
      <c r="I33" s="16"/>
      <c r="J33" s="16"/>
      <c r="K33" s="20"/>
      <c r="L33" s="18"/>
      <c r="M33" s="16"/>
      <c r="N33" s="16"/>
      <c r="O33" s="16"/>
      <c r="P33" s="20"/>
      <c r="Q33" s="18"/>
      <c r="R33" s="16"/>
      <c r="S33" s="16"/>
      <c r="T33" s="16"/>
      <c r="U33" s="20"/>
      <c r="V33" s="18"/>
      <c r="W33" s="16"/>
      <c r="X33" s="16"/>
      <c r="Y33" s="16"/>
      <c r="Z33" s="20"/>
      <c r="AA33" s="18"/>
      <c r="AB33" s="16"/>
      <c r="AC33" s="16"/>
      <c r="AD33" s="16"/>
      <c r="AE33" s="20"/>
      <c r="AF33" s="18"/>
      <c r="AG33" s="16"/>
      <c r="AH33" s="16"/>
      <c r="AI33" s="16"/>
      <c r="AJ33" s="20"/>
    </row>
    <row r="34" spans="1:36" x14ac:dyDescent="0.2">
      <c r="A34" s="9" t="s">
        <v>51</v>
      </c>
      <c r="B34" s="18"/>
      <c r="C34" s="16"/>
      <c r="D34" s="16"/>
      <c r="E34" s="16"/>
      <c r="F34" s="20"/>
      <c r="G34" s="18"/>
      <c r="H34" s="16"/>
      <c r="I34" s="16"/>
      <c r="J34" s="16"/>
      <c r="K34" s="20"/>
      <c r="L34" s="18"/>
      <c r="M34" s="16"/>
      <c r="N34" s="16"/>
      <c r="O34" s="16"/>
      <c r="P34" s="20"/>
      <c r="Q34" s="18"/>
      <c r="R34" s="16"/>
      <c r="S34" s="16"/>
      <c r="T34" s="16"/>
      <c r="U34" s="20"/>
      <c r="V34" s="18"/>
      <c r="W34" s="16"/>
      <c r="X34" s="16"/>
      <c r="Y34" s="16"/>
      <c r="Z34" s="20"/>
      <c r="AA34" s="18"/>
      <c r="AB34" s="16"/>
      <c r="AC34" s="16"/>
      <c r="AD34" s="16"/>
      <c r="AE34" s="20"/>
      <c r="AF34" s="18"/>
      <c r="AG34" s="16"/>
      <c r="AH34" s="16"/>
      <c r="AI34" s="16"/>
      <c r="AJ34" s="20"/>
    </row>
    <row r="35" spans="1:36" x14ac:dyDescent="0.2">
      <c r="A35" s="9" t="s">
        <v>52</v>
      </c>
      <c r="B35" s="18"/>
      <c r="C35" s="16"/>
      <c r="D35" s="16"/>
      <c r="E35" s="16"/>
      <c r="F35" s="20"/>
      <c r="G35" s="18"/>
      <c r="H35" s="16"/>
      <c r="I35" s="16"/>
      <c r="J35" s="16"/>
      <c r="K35" s="20"/>
      <c r="L35" s="18"/>
      <c r="M35" s="16"/>
      <c r="N35" s="16"/>
      <c r="O35" s="16"/>
      <c r="P35" s="20"/>
      <c r="Q35" s="18"/>
      <c r="R35" s="16"/>
      <c r="S35" s="16"/>
      <c r="T35" s="16"/>
      <c r="U35" s="20"/>
      <c r="V35" s="18"/>
      <c r="W35" s="16"/>
      <c r="X35" s="16"/>
      <c r="Y35" s="16"/>
      <c r="Z35" s="20"/>
      <c r="AA35" s="18"/>
      <c r="AB35" s="16"/>
      <c r="AC35" s="16"/>
      <c r="AD35" s="16"/>
      <c r="AE35" s="20"/>
      <c r="AF35" s="18"/>
      <c r="AG35" s="16"/>
      <c r="AH35" s="16"/>
      <c r="AI35" s="16"/>
      <c r="AJ35" s="20"/>
    </row>
    <row r="36" spans="1:36" x14ac:dyDescent="0.2">
      <c r="A36" s="9" t="s">
        <v>53</v>
      </c>
      <c r="B36" s="18"/>
      <c r="C36" s="16"/>
      <c r="D36" s="16"/>
      <c r="E36" s="16"/>
      <c r="F36" s="20"/>
      <c r="G36" s="18"/>
      <c r="H36" s="16"/>
      <c r="I36" s="16"/>
      <c r="J36" s="16"/>
      <c r="K36" s="20"/>
      <c r="L36" s="18"/>
      <c r="M36" s="16"/>
      <c r="N36" s="16"/>
      <c r="O36" s="16"/>
      <c r="P36" s="20"/>
      <c r="Q36" s="18"/>
      <c r="R36" s="16"/>
      <c r="S36" s="16"/>
      <c r="T36" s="16"/>
      <c r="U36" s="20"/>
      <c r="V36" s="18"/>
      <c r="W36" s="16"/>
      <c r="X36" s="16"/>
      <c r="Y36" s="16"/>
      <c r="Z36" s="20"/>
      <c r="AA36" s="18"/>
      <c r="AB36" s="16"/>
      <c r="AC36" s="16"/>
      <c r="AD36" s="16"/>
      <c r="AE36" s="20"/>
      <c r="AF36" s="18"/>
      <c r="AG36" s="16"/>
      <c r="AH36" s="16"/>
      <c r="AI36" s="16"/>
      <c r="AJ36" s="20"/>
    </row>
    <row r="37" spans="1:36" x14ac:dyDescent="0.2">
      <c r="A37" s="9" t="s">
        <v>54</v>
      </c>
      <c r="B37" s="18"/>
      <c r="C37" s="16"/>
      <c r="D37" s="16"/>
      <c r="E37" s="16"/>
      <c r="F37" s="20"/>
      <c r="G37" s="18"/>
      <c r="H37" s="16"/>
      <c r="I37" s="16"/>
      <c r="J37" s="16"/>
      <c r="K37" s="20"/>
      <c r="L37" s="18"/>
      <c r="M37" s="16"/>
      <c r="N37" s="16"/>
      <c r="O37" s="16"/>
      <c r="P37" s="20"/>
      <c r="Q37" s="18"/>
      <c r="R37" s="16"/>
      <c r="S37" s="16"/>
      <c r="T37" s="16"/>
      <c r="U37" s="20"/>
      <c r="V37" s="18"/>
      <c r="W37" s="16"/>
      <c r="X37" s="16"/>
      <c r="Y37" s="16"/>
      <c r="Z37" s="20"/>
      <c r="AA37" s="18"/>
      <c r="AB37" s="16"/>
      <c r="AC37" s="16"/>
      <c r="AD37" s="16"/>
      <c r="AE37" s="20"/>
      <c r="AF37" s="18"/>
      <c r="AG37" s="16"/>
      <c r="AH37" s="16"/>
      <c r="AI37" s="16"/>
      <c r="AJ37" s="20"/>
    </row>
    <row r="38" spans="1:36" x14ac:dyDescent="0.2">
      <c r="A38" s="9" t="s">
        <v>55</v>
      </c>
      <c r="B38" s="18"/>
      <c r="C38" s="16"/>
      <c r="D38" s="16"/>
      <c r="E38" s="16"/>
      <c r="F38" s="20"/>
      <c r="G38" s="18"/>
      <c r="H38" s="16"/>
      <c r="I38" s="16"/>
      <c r="J38" s="16"/>
      <c r="K38" s="20"/>
      <c r="L38" s="18"/>
      <c r="M38" s="16"/>
      <c r="N38" s="16"/>
      <c r="O38" s="16"/>
      <c r="P38" s="20"/>
      <c r="Q38" s="18"/>
      <c r="R38" s="16"/>
      <c r="S38" s="16"/>
      <c r="T38" s="16"/>
      <c r="U38" s="20"/>
      <c r="V38" s="18"/>
      <c r="W38" s="16"/>
      <c r="X38" s="16"/>
      <c r="Y38" s="16"/>
      <c r="Z38" s="20"/>
      <c r="AA38" s="18"/>
      <c r="AB38" s="16"/>
      <c r="AC38" s="16"/>
      <c r="AD38" s="16"/>
      <c r="AE38" s="20"/>
      <c r="AF38" s="18"/>
      <c r="AG38" s="16"/>
      <c r="AH38" s="16"/>
      <c r="AI38" s="16"/>
      <c r="AJ38" s="20"/>
    </row>
    <row r="39" spans="1:36" x14ac:dyDescent="0.2">
      <c r="A39" s="9" t="s">
        <v>56</v>
      </c>
      <c r="B39" s="18"/>
      <c r="C39" s="16"/>
      <c r="D39" s="16"/>
      <c r="E39" s="16"/>
      <c r="F39" s="20"/>
      <c r="G39" s="18"/>
      <c r="H39" s="16"/>
      <c r="I39" s="16"/>
      <c r="J39" s="16"/>
      <c r="K39" s="20"/>
      <c r="L39" s="18"/>
      <c r="M39" s="16"/>
      <c r="N39" s="16"/>
      <c r="O39" s="16"/>
      <c r="P39" s="20"/>
      <c r="Q39" s="18"/>
      <c r="R39" s="16"/>
      <c r="S39" s="16"/>
      <c r="T39" s="16"/>
      <c r="U39" s="20"/>
      <c r="V39" s="18"/>
      <c r="W39" s="16"/>
      <c r="X39" s="16"/>
      <c r="Y39" s="16"/>
      <c r="Z39" s="20"/>
      <c r="AA39" s="18"/>
      <c r="AB39" s="16"/>
      <c r="AC39" s="16"/>
      <c r="AD39" s="16"/>
      <c r="AE39" s="20"/>
      <c r="AF39" s="18"/>
      <c r="AG39" s="16"/>
      <c r="AH39" s="16"/>
      <c r="AI39" s="16"/>
      <c r="AJ39" s="20"/>
    </row>
    <row r="40" spans="1:36" x14ac:dyDescent="0.2">
      <c r="A40" s="9" t="s">
        <v>57</v>
      </c>
      <c r="B40" s="18"/>
      <c r="C40" s="16"/>
      <c r="D40" s="16"/>
      <c r="E40" s="16"/>
      <c r="F40" s="20"/>
      <c r="G40" s="18"/>
      <c r="H40" s="16"/>
      <c r="I40" s="16"/>
      <c r="J40" s="16"/>
      <c r="K40" s="20"/>
      <c r="L40" s="18"/>
      <c r="M40" s="16"/>
      <c r="N40" s="16"/>
      <c r="O40" s="16"/>
      <c r="P40" s="20"/>
      <c r="Q40" s="18"/>
      <c r="R40" s="16"/>
      <c r="S40" s="16"/>
      <c r="T40" s="16"/>
      <c r="U40" s="20"/>
      <c r="V40" s="18"/>
      <c r="W40" s="16"/>
      <c r="X40" s="16"/>
      <c r="Y40" s="16"/>
      <c r="Z40" s="20"/>
      <c r="AA40" s="18"/>
      <c r="AB40" s="16"/>
      <c r="AC40" s="16"/>
      <c r="AD40" s="16"/>
      <c r="AE40" s="20"/>
      <c r="AF40" s="18"/>
      <c r="AG40" s="16"/>
      <c r="AH40" s="16"/>
      <c r="AI40" s="16"/>
      <c r="AJ40" s="20"/>
    </row>
    <row r="41" spans="1:36" x14ac:dyDescent="0.2">
      <c r="A41" s="9" t="s">
        <v>58</v>
      </c>
      <c r="B41" s="18"/>
      <c r="C41" s="16"/>
      <c r="D41" s="16"/>
      <c r="E41" s="16"/>
      <c r="F41" s="20"/>
      <c r="G41" s="18"/>
      <c r="H41" s="16"/>
      <c r="I41" s="16"/>
      <c r="J41" s="16"/>
      <c r="K41" s="20"/>
      <c r="L41" s="18"/>
      <c r="M41" s="16"/>
      <c r="N41" s="16"/>
      <c r="O41" s="16"/>
      <c r="P41" s="20"/>
      <c r="Q41" s="18"/>
      <c r="R41" s="16"/>
      <c r="S41" s="16"/>
      <c r="T41" s="16"/>
      <c r="U41" s="20"/>
      <c r="V41" s="18"/>
      <c r="W41" s="16"/>
      <c r="X41" s="16"/>
      <c r="Y41" s="16"/>
      <c r="Z41" s="20"/>
      <c r="AA41" s="18"/>
      <c r="AB41" s="16"/>
      <c r="AC41" s="16"/>
      <c r="AD41" s="16"/>
      <c r="AE41" s="20"/>
      <c r="AF41" s="18"/>
      <c r="AG41" s="16"/>
      <c r="AH41" s="16"/>
      <c r="AI41" s="16"/>
      <c r="AJ41" s="20"/>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zoomScale="55" zoomScaleNormal="55" workbookViewId="0">
      <selection activeCell="E4" sqref="E4"/>
    </sheetView>
  </sheetViews>
  <sheetFormatPr defaultColWidth="9.296875" defaultRowHeight="13" x14ac:dyDescent="0.3"/>
  <cols>
    <col min="1" max="1" width="33.796875" style="1" customWidth="1"/>
    <col min="2" max="2" width="20" style="1" customWidth="1"/>
    <col min="3" max="3" width="17.5" style="30" customWidth="1"/>
    <col min="4" max="4" width="17.796875" style="30" customWidth="1"/>
    <col min="5" max="5" width="16.69921875" style="1" customWidth="1"/>
    <col min="6" max="6" width="20.5" style="30" customWidth="1"/>
    <col min="7" max="7" width="23.796875" style="1" customWidth="1"/>
    <col min="8" max="8" width="2.69921875" style="1" customWidth="1"/>
    <col min="9" max="16384" width="9.296875" style="1"/>
  </cols>
  <sheetData>
    <row r="1" spans="1:7" ht="16" customHeight="1" x14ac:dyDescent="0.3">
      <c r="A1" s="50" t="s">
        <v>0</v>
      </c>
      <c r="B1" s="50"/>
      <c r="C1" s="50"/>
      <c r="D1" s="50"/>
      <c r="E1" s="50"/>
      <c r="F1" s="50"/>
      <c r="G1" s="50"/>
    </row>
    <row r="2" spans="1:7" ht="16" customHeight="1" x14ac:dyDescent="0.3">
      <c r="A2" s="50" t="s">
        <v>1</v>
      </c>
      <c r="B2" s="50"/>
      <c r="C2" s="50"/>
      <c r="D2" s="50"/>
      <c r="E2" s="50"/>
      <c r="F2" s="50"/>
      <c r="G2" s="50"/>
    </row>
    <row r="3" spans="1:7" ht="72" customHeight="1" x14ac:dyDescent="0.3">
      <c r="A3" s="2"/>
      <c r="B3" s="3" t="str">
        <f>INPUT!A1</f>
        <v>QUARTER ENDED JUNE 30 2020</v>
      </c>
      <c r="C3" s="28" t="s">
        <v>2</v>
      </c>
      <c r="D3" s="28" t="s">
        <v>3</v>
      </c>
      <c r="E3" s="4" t="s">
        <v>4</v>
      </c>
      <c r="F3" s="28" t="s">
        <v>5</v>
      </c>
      <c r="G3" s="4" t="s">
        <v>6</v>
      </c>
    </row>
    <row r="4" spans="1:7" ht="28" customHeight="1" x14ac:dyDescent="0.3">
      <c r="A4" s="48" t="s">
        <v>7</v>
      </c>
      <c r="B4" s="3">
        <f>INPUT!A3</f>
        <v>2020</v>
      </c>
      <c r="C4" s="29">
        <f>VLOOKUP(INPUT!$A$1,INPUT!$A$5:$AJ$51,2,FALSE)</f>
        <v>343146</v>
      </c>
      <c r="D4" s="29">
        <f>VLOOKUP(INPUT!$A$1,INPUT!$A$5:$AJ$51,3,FALSE)</f>
        <v>281062</v>
      </c>
      <c r="E4" s="23">
        <f>VLOOKUP(INPUT!$A$1,INPUT!$A$5:$AJ$51,4,FALSE)</f>
        <v>-282869</v>
      </c>
      <c r="F4" s="29">
        <f>VLOOKUP(INPUT!$A$1,INPUT!$A$5:$AJ$51,5,FALSE)</f>
        <v>173958</v>
      </c>
      <c r="G4" s="22">
        <f>VLOOKUP(INPUT!$A$1,INPUT!$A$5:$AJ$51,6,FALSE)</f>
        <v>382</v>
      </c>
    </row>
    <row r="5" spans="1:7" ht="28" customHeight="1" x14ac:dyDescent="0.3">
      <c r="A5" s="49"/>
      <c r="B5" s="3">
        <f>INPUT!A4</f>
        <v>2019</v>
      </c>
      <c r="C5" s="29">
        <f>VLOOKUP(INPUT!$A$2,INPUT!$A$5:$AJ$51,2,FALSE)</f>
        <v>788848</v>
      </c>
      <c r="D5" s="29">
        <f>VLOOKUP(INPUT!$A$2,INPUT!$A$5:$AJ$51,3,FALSE)</f>
        <v>359070.26417459856</v>
      </c>
      <c r="E5" s="23">
        <f>VLOOKUP(INPUT!$A$2,INPUT!$A$5:$AJ$51,4,FALSE)</f>
        <v>65082.065999999992</v>
      </c>
      <c r="F5" s="29">
        <f>VLOOKUP(INPUT!$A$2,INPUT!$A$5:$AJ$51,5,FALSE)</f>
        <v>317325</v>
      </c>
      <c r="G5" s="22">
        <f>VLOOKUP(INPUT!$A$2,INPUT!$A$5:$AJ$51,6,FALSE)</f>
        <v>106</v>
      </c>
    </row>
    <row r="6" spans="1:7" ht="28" customHeight="1" x14ac:dyDescent="0.3">
      <c r="A6" s="51" t="s">
        <v>19</v>
      </c>
      <c r="B6" s="3">
        <f>$B$4</f>
        <v>2020</v>
      </c>
      <c r="C6" s="34">
        <f>VLOOKUP(INPUT!$A$1,INPUT!$A$5:$AJ$51,7,FALSE)</f>
        <v>88619</v>
      </c>
      <c r="D6" s="29">
        <f>VLOOKUP(INPUT!$A$1,INPUT!$A$5:$AJ$51,8,FALSE)</f>
        <v>80202</v>
      </c>
      <c r="E6" s="23">
        <f>VLOOKUP(INPUT!$A$1,INPUT!$A$5:$AJ$51,9,FALSE)</f>
        <v>-98201</v>
      </c>
      <c r="F6" s="29">
        <f>VLOOKUP(INPUT!$A$1,INPUT!$A$5:$AJ$51,10,FALSE)</f>
        <v>77404</v>
      </c>
      <c r="G6" s="22">
        <f>VLOOKUP(INPUT!$A$1,INPUT!$A$5:$AJ$51,11,FALSE)</f>
        <v>237</v>
      </c>
    </row>
    <row r="7" spans="1:7" ht="28" customHeight="1" x14ac:dyDescent="0.3">
      <c r="A7" s="52"/>
      <c r="B7" s="3">
        <f>$B$5</f>
        <v>2019</v>
      </c>
      <c r="C7" s="34">
        <f>VLOOKUP(INPUT!$A$2,INPUT!$A$5:$AJ$51,7,FALSE)</f>
        <v>229295</v>
      </c>
      <c r="D7" s="29">
        <f>VLOOKUP(INPUT!$A$2,INPUT!$A$5:$AJ$51,8,FALSE)</f>
        <v>104467</v>
      </c>
      <c r="E7" s="23">
        <f>VLOOKUP(INPUT!$A$2,INPUT!$A$5:$AJ$51,9,FALSE)</f>
        <v>1212</v>
      </c>
      <c r="F7" s="29">
        <f>VLOOKUP(INPUT!$A$2,INPUT!$A$5:$AJ$51,10,FALSE)</f>
        <v>154746</v>
      </c>
      <c r="G7" s="22">
        <f>VLOOKUP(INPUT!$A$2,INPUT!$A$5:$AJ$51,11,FALSE)</f>
        <v>517</v>
      </c>
    </row>
    <row r="8" spans="1:7" ht="28" customHeight="1" x14ac:dyDescent="0.3">
      <c r="A8" s="48" t="s">
        <v>8</v>
      </c>
      <c r="B8" s="3">
        <f>$B$4</f>
        <v>2020</v>
      </c>
      <c r="C8" s="29">
        <f>VLOOKUP(INPUT!$A$1,INPUT!$A$5:$AJ$51,12,FALSE)</f>
        <v>32285</v>
      </c>
      <c r="D8" s="29">
        <f>VLOOKUP(INPUT!$A$1,INPUT!$A$5:$AJ$51,13,FALSE)</f>
        <v>27838</v>
      </c>
      <c r="E8" s="23">
        <f>VLOOKUP(INPUT!$A$1,INPUT!$A$5:$AJ$51,14,FALSE)</f>
        <v>-26741</v>
      </c>
      <c r="F8" s="29">
        <f>VLOOKUP(INPUT!$A$1,INPUT!$A$5:$AJ$51,15,FALSE)</f>
        <v>14772</v>
      </c>
      <c r="G8" s="22">
        <f>VLOOKUP(INPUT!$A$1,INPUT!$A$5:$AJ$51,16,FALSE)</f>
        <v>1322</v>
      </c>
    </row>
    <row r="9" spans="1:7" ht="28" customHeight="1" x14ac:dyDescent="0.3">
      <c r="A9" s="49"/>
      <c r="B9" s="3">
        <f>$B$5</f>
        <v>2019</v>
      </c>
      <c r="C9" s="29">
        <f>VLOOKUP(INPUT!$A$2,INPUT!$A$5:$AJ$51,12,FALSE)</f>
        <v>84411</v>
      </c>
      <c r="D9" s="29">
        <f>VLOOKUP(INPUT!$A$2,INPUT!$A$5:$AJ$51,13,FALSE)</f>
        <v>39174</v>
      </c>
      <c r="E9" s="23">
        <f>VLOOKUP(INPUT!$A$2,INPUT!$A$5:$AJ$51,14,FALSE)</f>
        <v>9876</v>
      </c>
      <c r="F9" s="29">
        <f>VLOOKUP(INPUT!$A$2,INPUT!$A$5:$AJ$51,15,FALSE)</f>
        <v>34706</v>
      </c>
      <c r="G9" s="22">
        <f>VLOOKUP(INPUT!$A$2,INPUT!$A$5:$AJ$51,16,FALSE)</f>
        <v>3239</v>
      </c>
    </row>
    <row r="10" spans="1:7" ht="28" customHeight="1" x14ac:dyDescent="0.3">
      <c r="A10" s="48" t="s">
        <v>9</v>
      </c>
      <c r="B10" s="3">
        <f>$B$4</f>
        <v>2020</v>
      </c>
      <c r="C10" s="29">
        <f>VLOOKUP(INPUT!$A$1,INPUT!$A$5:$AJ$51,17,FALSE)</f>
        <v>14456</v>
      </c>
      <c r="D10" s="29">
        <f>VLOOKUP(INPUT!$A$1,INPUT!$A$5:$AJ$51,18,FALSE)</f>
        <v>12425</v>
      </c>
      <c r="E10" s="23">
        <f>VLOOKUP(INPUT!$A$1,INPUT!$A$5:$AJ$51,19,FALSE)</f>
        <v>-14572</v>
      </c>
      <c r="F10" s="29">
        <f>VLOOKUP(INPUT!$A$1,INPUT!$A$5:$AJ$51,20,FALSE)</f>
        <v>12269</v>
      </c>
      <c r="G10" s="22">
        <f>VLOOKUP(INPUT!$A$1,INPUT!$A$5:$AJ$51,21,FALSE)</f>
        <v>4652</v>
      </c>
    </row>
    <row r="11" spans="1:7" ht="28" customHeight="1" x14ac:dyDescent="0.3">
      <c r="A11" s="49"/>
      <c r="B11" s="3">
        <f>$B$5</f>
        <v>2019</v>
      </c>
      <c r="C11" s="29">
        <f>VLOOKUP(INPUT!$A$2,INPUT!$A$5:$AJ$51,17,FALSE)</f>
        <v>34349</v>
      </c>
      <c r="D11" s="29">
        <f>VLOOKUP(INPUT!$A$2,INPUT!$A$5:$AJ$51,18,FALSE)</f>
        <v>15613</v>
      </c>
      <c r="E11" s="23">
        <f>VLOOKUP(INPUT!$A$2,INPUT!$A$5:$AJ$51,19,FALSE)</f>
        <v>-121</v>
      </c>
      <c r="F11" s="29">
        <f>VLOOKUP(INPUT!$A$2,INPUT!$A$5:$AJ$51,20,FALSE)</f>
        <v>21568</v>
      </c>
      <c r="G11" s="22">
        <f>VLOOKUP(INPUT!$A$2,INPUT!$A$5:$AJ$51,21,FALSE)</f>
        <v>4198</v>
      </c>
    </row>
    <row r="12" spans="1:7" ht="28" customHeight="1" x14ac:dyDescent="0.3">
      <c r="A12" s="48" t="s">
        <v>10</v>
      </c>
      <c r="B12" s="3">
        <f>$B$4</f>
        <v>2020</v>
      </c>
      <c r="C12" s="29">
        <f>VLOOKUP(INPUT!$A$1,INPUT!$A$5:$AJ$51,22,FALSE)</f>
        <v>86670</v>
      </c>
      <c r="D12" s="29">
        <f>VLOOKUP(INPUT!$A$1,INPUT!$A$5:$AJ$51,23,FALSE)</f>
        <v>85007</v>
      </c>
      <c r="E12" s="23">
        <f>VLOOKUP(INPUT!$A$1,INPUT!$A$5:$AJ$51,24,FALSE)</f>
        <v>-106885</v>
      </c>
      <c r="F12" s="29">
        <f>VLOOKUP(INPUT!$A$1,INPUT!$A$5:$AJ$51,25,FALSE)</f>
        <v>69266</v>
      </c>
      <c r="G12" s="22">
        <f>VLOOKUP(INPUT!$A$1,INPUT!$A$5:$AJ$51,26,FALSE)</f>
        <v>586</v>
      </c>
    </row>
    <row r="13" spans="1:7" ht="28" customHeight="1" x14ac:dyDescent="0.3">
      <c r="A13" s="49"/>
      <c r="B13" s="3">
        <f>$B$5</f>
        <v>2019</v>
      </c>
      <c r="C13" s="29">
        <f>VLOOKUP(INPUT!$A$2,INPUT!$A$5:$AJ$51,22,FALSE)</f>
        <v>258570</v>
      </c>
      <c r="D13" s="29">
        <f>VLOOKUP(INPUT!$A$2,INPUT!$A$5:$AJ$51,23,FALSE)</f>
        <v>123136</v>
      </c>
      <c r="E13" s="23">
        <f>VLOOKUP(INPUT!$A$2,INPUT!$A$5:$AJ$51,24,FALSE)</f>
        <v>4451</v>
      </c>
      <c r="F13" s="29">
        <f>VLOOKUP(INPUT!$A$2,INPUT!$A$5:$AJ$51,25,FALSE)</f>
        <v>143357</v>
      </c>
      <c r="G13" s="22">
        <f>VLOOKUP(INPUT!$A$2,INPUT!$A$5:$AJ$51,26,FALSE)</f>
        <v>768</v>
      </c>
    </row>
    <row r="14" spans="1:7" ht="28" customHeight="1" x14ac:dyDescent="0.3">
      <c r="A14" s="48" t="s">
        <v>11</v>
      </c>
      <c r="B14" s="3">
        <f>$B$4</f>
        <v>2020</v>
      </c>
      <c r="C14" s="29">
        <f>VLOOKUP(INPUT!$A$1,INPUT!$A$5:$AJ$51,27,FALSE)</f>
        <v>12625</v>
      </c>
      <c r="D14" s="29">
        <f>VLOOKUP(INPUT!$A$1,INPUT!$A$5:$AJ$51,28,FALSE)</f>
        <v>11908.85522044388</v>
      </c>
      <c r="E14" s="23">
        <f>VLOOKUP(INPUT!$A$1,INPUT!$A$5:$AJ$51,29,FALSE)</f>
        <v>-20768</v>
      </c>
      <c r="F14" s="29">
        <f>VLOOKUP(INPUT!$A$1,INPUT!$A$5:$AJ$51,30,FALSE)</f>
        <v>6965.0864600000004</v>
      </c>
      <c r="G14" s="22">
        <f>VLOOKUP(INPUT!$A$1,INPUT!$A$5:$AJ$51,31,FALSE)</f>
        <v>2676.9456500000001</v>
      </c>
    </row>
    <row r="15" spans="1:7" ht="28" customHeight="1" x14ac:dyDescent="0.3">
      <c r="A15" s="49"/>
      <c r="B15" s="3">
        <f>$B$5</f>
        <v>2019</v>
      </c>
      <c r="C15" s="29">
        <f>VLOOKUP(INPUT!$A$2,INPUT!$A$5:$AJ$51,27,FALSE)</f>
        <v>35068.090790000002</v>
      </c>
      <c r="D15" s="29">
        <f>VLOOKUP(INPUT!$A$2,INPUT!$A$5:$AJ$51,28,FALSE)</f>
        <v>16811.86</v>
      </c>
      <c r="E15" s="23">
        <f>VLOOKUP(INPUT!$A$2,INPUT!$A$5:$AJ$51,29,FALSE)</f>
        <v>2308.2430599999998</v>
      </c>
      <c r="F15" s="29">
        <f>VLOOKUP(INPUT!$A$2,INPUT!$A$5:$AJ$51,30,FALSE)</f>
        <v>20806.8</v>
      </c>
      <c r="G15" s="22">
        <f>VLOOKUP(INPUT!$A$2,INPUT!$A$5:$AJ$51,31,FALSE)</f>
        <v>7795.9</v>
      </c>
    </row>
    <row r="16" spans="1:7" ht="28" customHeight="1" x14ac:dyDescent="0.3">
      <c r="A16" s="48" t="s">
        <v>12</v>
      </c>
      <c r="B16" s="3">
        <f>$B$4</f>
        <v>2020</v>
      </c>
      <c r="C16" s="29">
        <f>VLOOKUP(INPUT!$A$1,INPUT!$A$5:$AJ$51,32,FALSE)</f>
        <v>246283</v>
      </c>
      <c r="D16" s="29">
        <f>VLOOKUP(INPUT!$A$1,INPUT!$A$5:$AJ$51,33,FALSE)</f>
        <v>195214</v>
      </c>
      <c r="E16" s="23">
        <f>VLOOKUP(INPUT!$A$1,INPUT!$A$5:$AJ$51,34,FALSE)</f>
        <v>-188052</v>
      </c>
      <c r="F16" s="29">
        <f>VLOOKUP(INPUT!$A$1,INPUT!$A$5:$AJ$51,35,FALSE)</f>
        <v>206166</v>
      </c>
      <c r="G16" s="22">
        <f>VLOOKUP(INPUT!$A$1,INPUT!$A$5:$AJ$51,36,FALSE)</f>
        <v>19539</v>
      </c>
    </row>
    <row r="17" spans="1:7" ht="28" customHeight="1" x14ac:dyDescent="0.3">
      <c r="A17" s="49"/>
      <c r="B17" s="3">
        <f>$B$5</f>
        <v>2019</v>
      </c>
      <c r="C17" s="22">
        <f>VLOOKUP(INPUT!$A$2,INPUT!$A$5:$AJ$51,32,FALSE)</f>
        <v>560530</v>
      </c>
      <c r="D17" s="22">
        <f>VLOOKUP(INPUT!$A$2,INPUT!$A$5:$AJ$51,33,FALSE)</f>
        <v>254342</v>
      </c>
      <c r="E17" s="22">
        <f>VLOOKUP(INPUT!$A$2,INPUT!$A$5:$AJ$51,34,FALSE)</f>
        <v>29605.62374000001</v>
      </c>
      <c r="F17" s="22">
        <f>VLOOKUP(INPUT!$A$2,INPUT!$A$5:$AJ$51,35,FALSE)</f>
        <v>399560.05440000002</v>
      </c>
      <c r="G17" s="22">
        <f>VLOOKUP(INPUT!$A$2,INPUT!$A$5:$AJ$51,36,FALSE)</f>
        <v>34938.786270000004</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pans="3:6" x14ac:dyDescent="0.3">
      <c r="C33" s="1"/>
      <c r="D33" s="1"/>
      <c r="F33" s="1"/>
    </row>
    <row r="34" spans="3:6" x14ac:dyDescent="0.3">
      <c r="C34" s="1"/>
      <c r="D34" s="1"/>
      <c r="F34" s="1"/>
    </row>
    <row r="35" spans="3:6" x14ac:dyDescent="0.3">
      <c r="C35" s="1"/>
      <c r="D35" s="1"/>
      <c r="F35" s="1"/>
    </row>
    <row r="36" spans="3:6" x14ac:dyDescent="0.3">
      <c r="C36" s="1"/>
      <c r="D36" s="1"/>
      <c r="F36" s="1"/>
    </row>
    <row r="37" spans="3:6" x14ac:dyDescent="0.3">
      <c r="C37" s="1"/>
      <c r="D37" s="1"/>
      <c r="F37" s="1"/>
    </row>
    <row r="38" spans="3:6" x14ac:dyDescent="0.3">
      <c r="C38" s="1"/>
      <c r="D38" s="1"/>
      <c r="F38" s="1"/>
    </row>
    <row r="39" spans="3:6" x14ac:dyDescent="0.3">
      <c r="C39" s="1"/>
      <c r="D39" s="1"/>
      <c r="F39" s="1"/>
    </row>
    <row r="40" spans="3:6" x14ac:dyDescent="0.3">
      <c r="C40" s="1"/>
      <c r="D40" s="1"/>
      <c r="F40" s="1"/>
    </row>
    <row r="41" spans="3:6" x14ac:dyDescent="0.3">
      <c r="C41" s="1"/>
      <c r="D41" s="1"/>
      <c r="F41" s="1"/>
    </row>
    <row r="42" spans="3:6" x14ac:dyDescent="0.3">
      <c r="C42" s="1"/>
      <c r="D42" s="1"/>
      <c r="F42" s="1"/>
    </row>
    <row r="43" spans="3:6" x14ac:dyDescent="0.3">
      <c r="C43" s="1"/>
      <c r="D43" s="1"/>
      <c r="F43" s="1"/>
    </row>
    <row r="44" spans="3:6" x14ac:dyDescent="0.3">
      <c r="C44" s="1"/>
      <c r="D44" s="1"/>
      <c r="F44" s="1"/>
    </row>
    <row r="45" spans="3:6" x14ac:dyDescent="0.3">
      <c r="C45" s="1"/>
      <c r="D45" s="1"/>
      <c r="F45" s="1"/>
    </row>
    <row r="46" spans="3:6" x14ac:dyDescent="0.3">
      <c r="C46" s="1"/>
      <c r="D46" s="1"/>
      <c r="F46" s="1"/>
    </row>
    <row r="47" spans="3:6" x14ac:dyDescent="0.3">
      <c r="C47" s="1"/>
      <c r="D47" s="1"/>
      <c r="F47" s="1"/>
    </row>
    <row r="48" spans="3:6" x14ac:dyDescent="0.3">
      <c r="C48" s="1"/>
      <c r="D48" s="1"/>
      <c r="F48" s="1"/>
    </row>
    <row r="49" spans="3:6" x14ac:dyDescent="0.3">
      <c r="C49" s="1"/>
      <c r="D49" s="1"/>
      <c r="F49" s="1"/>
    </row>
    <row r="50" spans="3:6" x14ac:dyDescent="0.3">
      <c r="C50" s="1"/>
      <c r="D50" s="1"/>
      <c r="F50" s="1"/>
    </row>
    <row r="51" spans="3:6" x14ac:dyDescent="0.3">
      <c r="C51" s="1"/>
      <c r="D51" s="1"/>
      <c r="F51" s="1"/>
    </row>
    <row r="52" spans="3:6" x14ac:dyDescent="0.3">
      <c r="C52" s="1"/>
      <c r="D52" s="1"/>
      <c r="F52" s="1"/>
    </row>
    <row r="53" spans="3:6" x14ac:dyDescent="0.3">
      <c r="C53" s="1"/>
      <c r="D53" s="1"/>
      <c r="F53" s="1"/>
    </row>
    <row r="54" spans="3:6" x14ac:dyDescent="0.3">
      <c r="C54" s="1"/>
      <c r="D54" s="1"/>
      <c r="F54" s="1"/>
    </row>
    <row r="55" spans="3:6" x14ac:dyDescent="0.3">
      <c r="C55" s="1"/>
      <c r="D55" s="1"/>
      <c r="F55" s="1"/>
    </row>
    <row r="56" spans="3:6" x14ac:dyDescent="0.3">
      <c r="C56" s="1"/>
      <c r="D56" s="1"/>
      <c r="F56" s="1"/>
    </row>
    <row r="57" spans="3:6" x14ac:dyDescent="0.3">
      <c r="C57" s="1"/>
      <c r="D57" s="1"/>
      <c r="F57" s="1"/>
    </row>
    <row r="58" spans="3:6" x14ac:dyDescent="0.3">
      <c r="C58" s="1"/>
      <c r="D58" s="1"/>
      <c r="F58" s="1"/>
    </row>
    <row r="59" spans="3:6" x14ac:dyDescent="0.3">
      <c r="C59" s="1"/>
      <c r="D59" s="1"/>
      <c r="F59" s="1"/>
    </row>
    <row r="60" spans="3:6" x14ac:dyDescent="0.3">
      <c r="C60" s="1"/>
      <c r="D60" s="1"/>
      <c r="F60" s="1"/>
    </row>
    <row r="61" spans="3:6" x14ac:dyDescent="0.3">
      <c r="C61" s="1"/>
      <c r="D61" s="1"/>
      <c r="F61" s="1"/>
    </row>
    <row r="62" spans="3:6" x14ac:dyDescent="0.3">
      <c r="C62" s="1"/>
      <c r="D62" s="1"/>
      <c r="F62" s="1"/>
    </row>
    <row r="63" spans="3:6" x14ac:dyDescent="0.3">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Cassiday, Alan</cp:lastModifiedBy>
  <cp:lastPrinted>2018-08-03T15:25:02Z</cp:lastPrinted>
  <dcterms:created xsi:type="dcterms:W3CDTF">2013-02-13T08:02:04Z</dcterms:created>
  <dcterms:modified xsi:type="dcterms:W3CDTF">2020-08-03T17:57:01Z</dcterms:modified>
</cp:coreProperties>
</file>